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francisco\Downloads\"/>
    </mc:Choice>
  </mc:AlternateContent>
  <xr:revisionPtr revIDLastSave="0" documentId="13_ncr:1_{E1999E20-AAF1-4949-B942-ABEED57685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SCR Calculator" sheetId="1" r:id="rId1"/>
  </sheets>
  <definedNames>
    <definedName name="_xlnm.Print_Titles" localSheetId="0">'DSCR Calculator'!$1:$8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E28" i="1"/>
  <c r="E27" i="1"/>
  <c r="E26" i="1"/>
  <c r="E25" i="1"/>
  <c r="E24" i="1"/>
  <c r="C24" i="1"/>
  <c r="E23" i="1"/>
  <c r="C23" i="1"/>
  <c r="E22" i="1"/>
  <c r="C22" i="1"/>
  <c r="E21" i="1"/>
  <c r="C21" i="1"/>
  <c r="C25" i="1" s="1"/>
  <c r="B28" i="1" s="1"/>
  <c r="E20" i="1"/>
  <c r="E19" i="1"/>
  <c r="H18" i="1"/>
  <c r="E18" i="1"/>
  <c r="E16" i="1"/>
  <c r="E15" i="1"/>
  <c r="E14" i="1"/>
  <c r="E13" i="1"/>
  <c r="E12" i="1"/>
  <c r="E11" i="1"/>
  <c r="H11" i="1" l="1"/>
  <c r="G11" i="1"/>
  <c r="F11" i="1"/>
  <c r="H12" i="1"/>
  <c r="G12" i="1"/>
  <c r="F12" i="1"/>
  <c r="H13" i="1"/>
  <c r="G13" i="1"/>
  <c r="F13" i="1"/>
  <c r="H14" i="1"/>
  <c r="G14" i="1"/>
  <c r="F14" i="1"/>
  <c r="H15" i="1"/>
  <c r="G15" i="1"/>
  <c r="F15" i="1"/>
  <c r="H16" i="1"/>
  <c r="G16" i="1"/>
  <c r="F16" i="1"/>
  <c r="H19" i="1"/>
  <c r="G18" i="1"/>
  <c r="F18" i="1"/>
  <c r="H20" i="1"/>
  <c r="G19" i="1"/>
  <c r="F19" i="1"/>
  <c r="H21" i="1"/>
  <c r="G20" i="1"/>
  <c r="F20" i="1"/>
  <c r="H22" i="1"/>
  <c r="G21" i="1"/>
  <c r="F21" i="1"/>
  <c r="H23" i="1"/>
  <c r="G22" i="1"/>
  <c r="F22" i="1"/>
  <c r="H24" i="1"/>
  <c r="G23" i="1"/>
  <c r="F23" i="1"/>
  <c r="H25" i="1"/>
  <c r="G24" i="1"/>
  <c r="F24" i="1"/>
  <c r="H26" i="1"/>
  <c r="G25" i="1"/>
  <c r="F25" i="1"/>
  <c r="H27" i="1"/>
  <c r="G26" i="1"/>
  <c r="F26" i="1"/>
  <c r="H28" i="1"/>
  <c r="G27" i="1"/>
  <c r="F27" i="1"/>
  <c r="G28" i="1"/>
  <c r="F28" i="1"/>
</calcChain>
</file>

<file path=xl/sharedStrings.xml><?xml version="1.0" encoding="utf-8"?>
<sst xmlns="http://schemas.openxmlformats.org/spreadsheetml/2006/main" count="24" uniqueCount="24">
  <si>
    <t>MLBwholesale DSCR Calculator</t>
  </si>
  <si>
    <t>Making Lives Better</t>
  </si>
  <si>
    <t>INPUT SECTION</t>
  </si>
  <si>
    <t>RATE COMPARISON TABLE</t>
  </si>
  <si>
    <t>Interest Rate</t>
  </si>
  <si>
    <t>Monthly P&amp;I</t>
  </si>
  <si>
    <t>DSCR Ratio</t>
  </si>
  <si>
    <t>Interest Rate (%)</t>
  </si>
  <si>
    <t>Loan Amount ($)</t>
  </si>
  <si>
    <t>Annual Property Taxes ($)</t>
  </si>
  <si>
    <t>Annual Insurance ($)</t>
  </si>
  <si>
    <t>Monthly HOA Fees ($)</t>
  </si>
  <si>
    <t>Monthly Rent Amount ($)</t>
  </si>
  <si>
    <t>Interest Only?</t>
  </si>
  <si>
    <t>No</t>
  </si>
  <si>
    <t>DSCR CALCULATION</t>
  </si>
  <si>
    <t>Monthly P&amp;I Payment</t>
  </si>
  <si>
    <t>Monthly Property Taxes</t>
  </si>
  <si>
    <t>Monthly Insurance</t>
  </si>
  <si>
    <t>Monthly HOA</t>
  </si>
  <si>
    <t>Total Monthly Debt Service</t>
  </si>
  <si>
    <t>DSCR RATIO</t>
  </si>
  <si>
    <t>QUALIFICATION STATUS</t>
  </si>
  <si>
    <t>© MLBwholesale - Making Lives Better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</si>
</sst>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\$#,##0.00"/>
    <numFmt numFmtId="166" formatCode="\$#,##0"/>
  </numFmts>
  <fonts count="12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sz val="11"/>
      <name val="Calibri"/>
    </font>
    <font>
      <b/>
      <sz val="16"/>
      <color rgb="FF2B4C7E"/>
      <name val="Calibri"/>
    </font>
    <font>
      <b/>
      <sz val="28"/>
      <color rgb="FFF58220"/>
      <name val="Calibri"/>
    </font>
    <font>
      <b/>
      <sz val="12"/>
      <name val="Calibri"/>
    </font>
    <font>
      <b/>
      <sz val="11"/>
      <color rgb="FFFFFFFF"/>
      <name val="Calibri"/>
    </font>
    <font>
      <b/>
      <sz val="10"/>
      <color rgb="FF2B4C7E"/>
      <name val="Calibri"/>
    </font>
    <font>
      <i/>
      <sz val="9"/>
      <color rgb="FF2B4C7E"/>
      <name val="Calibri"/>
    </font>
    <font>
      <b/>
      <sz val="18"/>
      <color rgb="FF2B4C7E"/>
      <name val="Calibri"/>
      <family val="2"/>
    </font>
    <font>
      <b/>
      <i/>
      <sz val="14"/>
      <color rgb="FFF5822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2B4C7E"/>
        <bgColor rgb="FF2B4C7E"/>
      </patternFill>
    </fill>
    <fill>
      <patternFill patternType="solid">
        <fgColor rgb="FFFFFDE7"/>
        <bgColor rgb="FFFFFDE7"/>
      </patternFill>
    </fill>
    <fill>
      <patternFill patternType="solid">
        <fgColor rgb="FFF58220"/>
        <bgColor rgb="FFF58220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10" fontId="3" fillId="3" borderId="2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left"/>
    </xf>
    <xf numFmtId="166" fontId="3" fillId="3" borderId="2" xfId="0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/>
    <xf numFmtId="0" fontId="2" fillId="0" borderId="0" xfId="0" applyFont="1" applyAlignment="1">
      <alignment horizontal="right" vertical="center"/>
    </xf>
    <xf numFmtId="0" fontId="3" fillId="3" borderId="2" xfId="0" applyFont="1" applyFill="1" applyBorder="1" applyAlignment="1">
      <alignment horizontal="center"/>
    </xf>
    <xf numFmtId="0" fontId="0" fillId="0" borderId="3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6" borderId="0" xfId="0" applyFill="1"/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0" fillId="6" borderId="0" xfId="0" applyFill="1"/>
    <xf numFmtId="0" fontId="9" fillId="6" borderId="0" xfId="0" applyFont="1" applyFill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FD700"/>
          <bgColor rgb="FFFFD700"/>
        </patternFill>
      </fill>
    </dxf>
    <dxf>
      <fill>
        <patternFill patternType="solid">
          <fgColor rgb="FFBBDEFB"/>
          <bgColor rgb="FFBBDEFB"/>
        </patternFill>
      </fill>
    </dxf>
    <dxf>
      <fill>
        <patternFill patternType="solid">
          <fgColor rgb="FFFFE0B2"/>
          <bgColor rgb="FFFFE0B2"/>
        </patternFill>
      </fill>
    </dxf>
    <dxf>
      <fill>
        <patternFill patternType="solid">
          <fgColor rgb="FFC8E6C9"/>
          <bgColor rgb="FFC8E6C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2247900</xdr:colOff>
      <xdr:row>0</xdr:row>
      <xdr:rowOff>0</xdr:rowOff>
    </xdr:from>
    <xdr:ext cx="3648076" cy="5619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0"/>
          <a:ext cx="3648076" cy="561975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53"/>
  <sheetViews>
    <sheetView tabSelected="1" workbookViewId="0">
      <selection activeCell="M16" sqref="M16"/>
    </sheetView>
  </sheetViews>
  <sheetFormatPr defaultRowHeight="15" x14ac:dyDescent="0.25"/>
  <cols>
    <col min="1" max="1" width="3" customWidth="1"/>
    <col min="2" max="2" width="35" customWidth="1"/>
    <col min="3" max="3" width="20" customWidth="1"/>
    <col min="4" max="4" width="5" customWidth="1"/>
    <col min="5" max="7" width="18" customWidth="1"/>
    <col min="8" max="8" width="15" customWidth="1"/>
    <col min="9" max="53" width="9.140625" style="29"/>
  </cols>
  <sheetData>
    <row r="1" spans="1:9" x14ac:dyDescent="0.25">
      <c r="A1" s="29"/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29"/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29"/>
      <c r="B3" s="30"/>
      <c r="C3" s="30"/>
      <c r="D3" s="30"/>
      <c r="E3" s="30"/>
      <c r="F3" s="30"/>
      <c r="G3" s="30"/>
      <c r="H3" s="30"/>
      <c r="I3" s="30"/>
    </row>
    <row r="4" spans="1:9" ht="2.25" customHeight="1" x14ac:dyDescent="0.25">
      <c r="A4" s="29"/>
      <c r="B4" s="30"/>
      <c r="C4" s="30"/>
      <c r="D4" s="30"/>
      <c r="E4" s="30"/>
      <c r="F4" s="30"/>
      <c r="G4" s="30"/>
      <c r="H4" s="30"/>
      <c r="I4" s="30"/>
    </row>
    <row r="5" spans="1:9" ht="4.5" customHeight="1" x14ac:dyDescent="0.25">
      <c r="A5" s="29"/>
      <c r="B5" s="30"/>
      <c r="C5" s="30"/>
      <c r="D5" s="30"/>
      <c r="E5" s="30"/>
      <c r="F5" s="30"/>
      <c r="G5" s="30"/>
      <c r="H5" s="30"/>
      <c r="I5" s="30"/>
    </row>
    <row r="6" spans="1:9" ht="19.5" customHeight="1" x14ac:dyDescent="0.35">
      <c r="A6" s="29"/>
      <c r="B6" s="31" t="s">
        <v>0</v>
      </c>
      <c r="C6" s="31"/>
      <c r="D6" s="31"/>
      <c r="E6" s="31"/>
      <c r="F6" s="31"/>
      <c r="G6" s="31"/>
      <c r="H6" s="31"/>
      <c r="I6" s="30"/>
    </row>
    <row r="7" spans="1:9" ht="18.75" x14ac:dyDescent="0.3">
      <c r="A7" s="29"/>
      <c r="B7" s="32" t="s">
        <v>1</v>
      </c>
      <c r="C7" s="32"/>
      <c r="D7" s="32"/>
      <c r="E7" s="32"/>
      <c r="F7" s="32"/>
      <c r="G7" s="32"/>
      <c r="H7" s="32"/>
      <c r="I7" s="30"/>
    </row>
    <row r="8" spans="1:9" x14ac:dyDescent="0.25">
      <c r="A8" s="29"/>
      <c r="B8" s="30"/>
      <c r="C8" s="30"/>
      <c r="D8" s="30"/>
      <c r="E8" s="30"/>
      <c r="F8" s="30"/>
      <c r="G8" s="30"/>
      <c r="H8" s="30"/>
      <c r="I8" s="30"/>
    </row>
    <row r="9" spans="1:9" ht="18.75" x14ac:dyDescent="0.3">
      <c r="A9" s="29"/>
      <c r="B9" s="24" t="s">
        <v>2</v>
      </c>
      <c r="C9" s="25"/>
      <c r="D9" s="29"/>
      <c r="E9" s="24" t="s">
        <v>3</v>
      </c>
      <c r="F9" s="26"/>
      <c r="G9" s="26"/>
      <c r="H9" s="25"/>
      <c r="I9" s="30"/>
    </row>
    <row r="10" spans="1:9" x14ac:dyDescent="0.25">
      <c r="A10" s="29"/>
      <c r="D10" s="29"/>
      <c r="E10" s="2" t="s">
        <v>4</v>
      </c>
      <c r="F10" s="2" t="s">
        <v>5</v>
      </c>
      <c r="G10" s="2" t="s">
        <v>6</v>
      </c>
      <c r="H10" s="2"/>
      <c r="I10" s="30"/>
    </row>
    <row r="11" spans="1:9" x14ac:dyDescent="0.25">
      <c r="A11" s="29"/>
      <c r="B11" s="3" t="s">
        <v>7</v>
      </c>
      <c r="C11" s="4">
        <v>7.4999999999999997E-2</v>
      </c>
      <c r="D11" s="29"/>
      <c r="E11" s="5">
        <f>$C$11+(-8*0.00125)</f>
        <v>6.5000000000000002E-2</v>
      </c>
      <c r="F11" s="6">
        <f t="shared" ref="F11:F16" si="0">IF($C$17="Yes",($C$12*E11)/12,-PMT(E11/12,360,$C$12))</f>
        <v>1896.2040704788913</v>
      </c>
      <c r="G11" s="7">
        <f t="shared" ref="G11:G16" si="1">IF(($C$13/12+$C$14/12+$C$15+IF($C$17="Yes",($C$12*E11)/12,-PMT(E11/12,360,$C$12)))&gt;0,$C$16/($C$13/12+$C$14/12+$C$15+IF($C$17="Yes",($C$12*E11)/12,-PMT(E11/12,360,$C$12))),0)</f>
        <v>1.065550960147178</v>
      </c>
      <c r="H11" s="8" t="str">
        <f t="shared" ref="H11:H16" si="2">IF(ABS(E11-$C$11)&lt;0.0001,"► YOUR RATE","")</f>
        <v/>
      </c>
      <c r="I11" s="30"/>
    </row>
    <row r="12" spans="1:9" x14ac:dyDescent="0.25">
      <c r="A12" s="29"/>
      <c r="B12" s="3" t="s">
        <v>8</v>
      </c>
      <c r="C12" s="9">
        <v>300000</v>
      </c>
      <c r="D12" s="29"/>
      <c r="E12" s="10">
        <f>$C$11+(-7*0.00125)</f>
        <v>6.6250000000000003E-2</v>
      </c>
      <c r="F12" s="11">
        <f t="shared" si="0"/>
        <v>1920.932883225362</v>
      </c>
      <c r="G12" s="12">
        <f t="shared" si="1"/>
        <v>1.0544372713744044</v>
      </c>
      <c r="H12" s="13" t="str">
        <f t="shared" si="2"/>
        <v/>
      </c>
      <c r="I12" s="30"/>
    </row>
    <row r="13" spans="1:9" x14ac:dyDescent="0.25">
      <c r="A13" s="29"/>
      <c r="B13" s="3" t="s">
        <v>9</v>
      </c>
      <c r="C13" s="9">
        <v>3600</v>
      </c>
      <c r="D13" s="29"/>
      <c r="E13" s="5">
        <f>$C$11+(-6*0.00125)</f>
        <v>6.7500000000000004E-2</v>
      </c>
      <c r="F13" s="6">
        <f t="shared" si="0"/>
        <v>1945.7942897046455</v>
      </c>
      <c r="G13" s="7">
        <f t="shared" si="1"/>
        <v>1.0434952661600179</v>
      </c>
      <c r="H13" s="8" t="str">
        <f t="shared" si="2"/>
        <v/>
      </c>
      <c r="I13" s="30"/>
    </row>
    <row r="14" spans="1:9" x14ac:dyDescent="0.25">
      <c r="A14" s="29"/>
      <c r="B14" s="3" t="s">
        <v>10</v>
      </c>
      <c r="C14" s="9">
        <v>1800</v>
      </c>
      <c r="D14" s="29"/>
      <c r="E14" s="10">
        <f>$C$11+(-5*0.00125)</f>
        <v>6.8749999999999992E-2</v>
      </c>
      <c r="F14" s="11">
        <f t="shared" si="0"/>
        <v>1970.7864410265413</v>
      </c>
      <c r="G14" s="12">
        <f t="shared" si="1"/>
        <v>1.0327222416777369</v>
      </c>
      <c r="H14" s="13" t="str">
        <f t="shared" si="2"/>
        <v/>
      </c>
      <c r="I14" s="30"/>
    </row>
    <row r="15" spans="1:9" x14ac:dyDescent="0.25">
      <c r="A15" s="29"/>
      <c r="B15" s="3" t="s">
        <v>11</v>
      </c>
      <c r="C15" s="9">
        <v>0</v>
      </c>
      <c r="D15" s="29"/>
      <c r="E15" s="5">
        <f>$C$11+(-4*0.00125)</f>
        <v>6.9999999999999993E-2</v>
      </c>
      <c r="F15" s="6">
        <f t="shared" si="0"/>
        <v>1995.9074855375493</v>
      </c>
      <c r="G15" s="7">
        <f t="shared" si="1"/>
        <v>1.0221155194063125</v>
      </c>
      <c r="H15" s="8" t="str">
        <f t="shared" si="2"/>
        <v/>
      </c>
      <c r="I15" s="30"/>
    </row>
    <row r="16" spans="1:9" x14ac:dyDescent="0.25">
      <c r="A16" s="29"/>
      <c r="B16" s="3" t="s">
        <v>12</v>
      </c>
      <c r="C16" s="9">
        <v>2500</v>
      </c>
      <c r="D16" s="29"/>
      <c r="E16" s="10">
        <f>$C$11+(-3*0.00125)</f>
        <v>7.1249999999999994E-2</v>
      </c>
      <c r="F16" s="11">
        <f t="shared" si="0"/>
        <v>2021.1555699034013</v>
      </c>
      <c r="G16" s="12">
        <f t="shared" si="1"/>
        <v>1.0116724460604178</v>
      </c>
      <c r="H16" s="13" t="str">
        <f t="shared" si="2"/>
        <v/>
      </c>
      <c r="I16" s="30"/>
    </row>
    <row r="17" spans="1:9" x14ac:dyDescent="0.25">
      <c r="A17" s="29"/>
      <c r="B17" s="20" t="s">
        <v>13</v>
      </c>
      <c r="C17" s="21" t="s">
        <v>14</v>
      </c>
      <c r="D17" s="29"/>
      <c r="I17" s="30"/>
    </row>
    <row r="18" spans="1:9" x14ac:dyDescent="0.25">
      <c r="A18" s="29"/>
      <c r="B18" s="23"/>
      <c r="C18" s="23"/>
      <c r="D18" s="29"/>
      <c r="E18" s="5">
        <f>$C$11+(-2*0.00125)</f>
        <v>7.2499999999999995E-2</v>
      </c>
      <c r="F18" s="6">
        <f t="shared" ref="F18:F28" si="3">IF($C$17="Yes",($C$12*E18)/12,-PMT(E18/12,360,$C$12))</f>
        <v>2046.5288401685759</v>
      </c>
      <c r="G18" s="7">
        <f t="shared" ref="G18:G28" si="4">IF(($C$13/12+$C$14/12+$C$15+IF($C$17="Yes",($C$12*E18)/12,-PMT(E18/12,360,$C$12)))&gt;0,$C$16/($C$13/12+$C$14/12+$C$15+IF($C$17="Yes",($C$12*E18)/12,-PMT(E18/12,360,$C$12))),0)</f>
        <v>1.0013903944451088</v>
      </c>
      <c r="H18" s="8" t="str">
        <f t="shared" ref="H18:H28" si="5">IF(ABS(E17-$C$11)&lt;0.0001,"► YOUR RATE","")</f>
        <v/>
      </c>
      <c r="I18" s="30"/>
    </row>
    <row r="19" spans="1:9" ht="18.75" x14ac:dyDescent="0.3">
      <c r="A19" s="29"/>
      <c r="B19" s="1" t="s">
        <v>15</v>
      </c>
      <c r="C19" s="19"/>
      <c r="D19" s="29"/>
      <c r="E19" s="10">
        <f>$C$11+(-1*0.00125)</f>
        <v>7.3749999999999996E-2</v>
      </c>
      <c r="F19" s="11">
        <f t="shared" si="3"/>
        <v>2072.025442792014</v>
      </c>
      <c r="G19" s="12">
        <f t="shared" si="4"/>
        <v>0.99126676423706861</v>
      </c>
      <c r="H19" s="13" t="str">
        <f t="shared" si="5"/>
        <v/>
      </c>
      <c r="I19" s="30"/>
    </row>
    <row r="20" spans="1:9" x14ac:dyDescent="0.25">
      <c r="A20" s="29"/>
      <c r="D20" s="29"/>
      <c r="E20" s="5">
        <f>$C$11+(0*0.00125)</f>
        <v>7.4999999999999997E-2</v>
      </c>
      <c r="F20" s="6">
        <f t="shared" si="3"/>
        <v>2097.6435256583372</v>
      </c>
      <c r="G20" s="7">
        <f t="shared" si="4"/>
        <v>0.98129898269577343</v>
      </c>
      <c r="H20" s="8" t="str">
        <f t="shared" si="5"/>
        <v/>
      </c>
      <c r="I20" s="30"/>
    </row>
    <row r="21" spans="1:9" x14ac:dyDescent="0.25">
      <c r="A21" s="29"/>
      <c r="B21" s="14" t="s">
        <v>16</v>
      </c>
      <c r="C21" s="15">
        <f>IF(C17="Yes",(C12*C11)/12,-PMT(C11/12,360,C12))</f>
        <v>2097.6435256583372</v>
      </c>
      <c r="D21" s="29"/>
      <c r="E21" s="10">
        <f>$C$11+(1*0.00125)</f>
        <v>7.6249999999999998E-2</v>
      </c>
      <c r="F21" s="11">
        <f t="shared" si="3"/>
        <v>2123.3812390639046</v>
      </c>
      <c r="G21" s="12">
        <f t="shared" si="4"/>
        <v>0.97148450530765595</v>
      </c>
      <c r="H21" s="13" t="str">
        <f t="shared" si="5"/>
        <v>► YOUR RATE</v>
      </c>
      <c r="I21" s="30"/>
    </row>
    <row r="22" spans="1:9" x14ac:dyDescent="0.25">
      <c r="A22" s="29"/>
      <c r="B22" s="14" t="s">
        <v>17</v>
      </c>
      <c r="C22" s="15">
        <f>C13/12</f>
        <v>300</v>
      </c>
      <c r="D22" s="29"/>
      <c r="E22" s="5">
        <f>$C$11+(2*0.00125)</f>
        <v>7.7499999999999999E-2</v>
      </c>
      <c r="F22" s="6">
        <f t="shared" si="3"/>
        <v>2149.23673667713</v>
      </c>
      <c r="G22" s="7">
        <f t="shared" si="4"/>
        <v>0.96182081636627126</v>
      </c>
      <c r="H22" s="8" t="str">
        <f t="shared" si="5"/>
        <v/>
      </c>
      <c r="I22" s="30"/>
    </row>
    <row r="23" spans="1:9" x14ac:dyDescent="0.25">
      <c r="A23" s="29"/>
      <c r="B23" s="14" t="s">
        <v>18</v>
      </c>
      <c r="C23" s="15">
        <f>C14/12</f>
        <v>150</v>
      </c>
      <c r="D23" s="29"/>
      <c r="E23" s="10">
        <f>$C$11+(3*0.00125)</f>
        <v>7.8750000000000001E-2</v>
      </c>
      <c r="F23" s="11">
        <f t="shared" si="3"/>
        <v>2175.2081764725444</v>
      </c>
      <c r="G23" s="12">
        <f t="shared" si="4"/>
        <v>0.95230542949139185</v>
      </c>
      <c r="H23" s="13" t="str">
        <f t="shared" si="5"/>
        <v/>
      </c>
      <c r="I23" s="30"/>
    </row>
    <row r="24" spans="1:9" x14ac:dyDescent="0.25">
      <c r="A24" s="29"/>
      <c r="B24" s="14" t="s">
        <v>19</v>
      </c>
      <c r="C24" s="15">
        <f>C15</f>
        <v>0</v>
      </c>
      <c r="D24" s="29"/>
      <c r="E24" s="5">
        <f>$C$11+(4*0.00125)</f>
        <v>0.08</v>
      </c>
      <c r="F24" s="6">
        <f t="shared" si="3"/>
        <v>2201.2937216381288</v>
      </c>
      <c r="G24" s="7">
        <f t="shared" si="4"/>
        <v>0.94293588808989059</v>
      </c>
      <c r="H24" s="8" t="str">
        <f t="shared" si="5"/>
        <v/>
      </c>
      <c r="I24" s="30"/>
    </row>
    <row r="25" spans="1:9" x14ac:dyDescent="0.25">
      <c r="A25" s="29"/>
      <c r="B25" s="3" t="s">
        <v>20</v>
      </c>
      <c r="C25" s="16">
        <f>C21+C22+C23+C24</f>
        <v>2547.6435256583372</v>
      </c>
      <c r="D25" s="29"/>
      <c r="E25" s="10">
        <f>$C$11+(5*0.00125)</f>
        <v>8.1250000000000003E-2</v>
      </c>
      <c r="F25" s="11">
        <f t="shared" si="3"/>
        <v>2227.4915414555226</v>
      </c>
      <c r="G25" s="12">
        <f t="shared" si="4"/>
        <v>0.93370976576118869</v>
      </c>
      <c r="H25" s="13" t="str">
        <f t="shared" si="5"/>
        <v/>
      </c>
      <c r="I25" s="30"/>
    </row>
    <row r="26" spans="1:9" x14ac:dyDescent="0.25">
      <c r="A26" s="29"/>
      <c r="B26" s="23"/>
      <c r="C26" s="23"/>
      <c r="D26" s="29"/>
      <c r="E26" s="5">
        <f>$C$11+(6*0.00125)</f>
        <v>8.249999999999999E-2</v>
      </c>
      <c r="F26" s="6">
        <f t="shared" si="3"/>
        <v>2253.7998121527712</v>
      </c>
      <c r="G26" s="7">
        <f t="shared" si="4"/>
        <v>0.92462466664996723</v>
      </c>
      <c r="H26" s="8" t="str">
        <f t="shared" si="5"/>
        <v/>
      </c>
      <c r="I26" s="30"/>
    </row>
    <row r="27" spans="1:9" ht="21" x14ac:dyDescent="0.35">
      <c r="A27" s="29"/>
      <c r="B27" s="27" t="s">
        <v>21</v>
      </c>
      <c r="C27" s="28"/>
      <c r="D27" s="29"/>
      <c r="E27" s="10">
        <f>$C$11+(7*0.00125)</f>
        <v>8.3749999999999991E-2</v>
      </c>
      <c r="F27" s="11">
        <f t="shared" si="3"/>
        <v>2280.2167177293145</v>
      </c>
      <c r="G27" s="12">
        <f t="shared" si="4"/>
        <v>0.91567822574876667</v>
      </c>
      <c r="H27" s="13" t="str">
        <f t="shared" si="5"/>
        <v/>
      </c>
      <c r="I27" s="30"/>
    </row>
    <row r="28" spans="1:9" ht="36" x14ac:dyDescent="0.55000000000000004">
      <c r="A28" s="29"/>
      <c r="B28" s="17">
        <f>IF(C25&gt;0,C16/C25,0)</f>
        <v>0.98129898269577343</v>
      </c>
      <c r="C28" s="22"/>
      <c r="D28" s="29"/>
      <c r="E28" s="5">
        <f>$C$11+(8*0.00125)</f>
        <v>8.4999999999999992E-2</v>
      </c>
      <c r="F28" s="6">
        <f t="shared" si="3"/>
        <v>2306.7404507530005</v>
      </c>
      <c r="G28" s="7">
        <f t="shared" si="4"/>
        <v>0.90686810915301364</v>
      </c>
      <c r="H28" s="8" t="str">
        <f t="shared" si="5"/>
        <v/>
      </c>
      <c r="I28" s="30"/>
    </row>
    <row r="29" spans="1:9" x14ac:dyDescent="0.25">
      <c r="A29" s="29"/>
      <c r="B29" s="23"/>
      <c r="C29" s="23"/>
      <c r="D29" s="29"/>
      <c r="E29" s="29"/>
      <c r="F29" s="29"/>
      <c r="G29" s="29"/>
      <c r="H29" s="29"/>
      <c r="I29" s="30"/>
    </row>
    <row r="30" spans="1:9" ht="35.1" customHeight="1" x14ac:dyDescent="0.3">
      <c r="A30" s="29"/>
      <c r="B30" s="24" t="s">
        <v>22</v>
      </c>
      <c r="C30" s="25"/>
      <c r="D30" s="29"/>
      <c r="E30" s="29"/>
      <c r="F30" s="29"/>
      <c r="G30" s="29"/>
      <c r="H30" s="29"/>
      <c r="I30" s="30"/>
    </row>
    <row r="31" spans="1:9" ht="15.75" x14ac:dyDescent="0.25">
      <c r="A31" s="29"/>
      <c r="B31" s="18" t="str">
        <f>IF(B27&gt;=1,"DSCR 1.0+ - QUALIFIES",IF(B27&gt;=0.75,"DSCR 0.75-0.99 - Negative cash flow options available, higher rates","NO RATIO DSCR - No Ratio program"))</f>
        <v>DSCR 1.0+ - QUALIFIES</v>
      </c>
      <c r="C31" s="22"/>
      <c r="D31" s="29"/>
      <c r="E31" s="29"/>
      <c r="F31" s="29"/>
      <c r="G31" s="29"/>
      <c r="H31" s="29"/>
      <c r="I31" s="30"/>
    </row>
    <row r="32" spans="1:9" x14ac:dyDescent="0.25">
      <c r="A32" s="29"/>
      <c r="B32" s="33"/>
      <c r="C32" s="33"/>
      <c r="D32" s="29"/>
      <c r="E32" s="29"/>
      <c r="F32" s="29"/>
      <c r="G32" s="29"/>
      <c r="H32" s="29"/>
      <c r="I32" s="30"/>
    </row>
    <row r="33" spans="1:9" x14ac:dyDescent="0.25">
      <c r="A33" s="29"/>
      <c r="B33" s="34" t="s">
        <v>23</v>
      </c>
      <c r="C33" s="29"/>
      <c r="D33" s="29"/>
      <c r="E33" s="29"/>
      <c r="F33" s="29"/>
      <c r="G33" s="29"/>
      <c r="H33" s="29"/>
      <c r="I33" s="30"/>
    </row>
    <row r="34" spans="1:9" x14ac:dyDescent="0.25">
      <c r="A34" s="29"/>
      <c r="B34" s="29"/>
      <c r="C34" s="29"/>
      <c r="D34" s="29"/>
      <c r="E34" s="29"/>
      <c r="I34" s="30"/>
    </row>
    <row r="35" spans="1:9" s="29" customFormat="1" x14ac:dyDescent="0.25"/>
    <row r="36" spans="1:9" s="29" customFormat="1" x14ac:dyDescent="0.25"/>
    <row r="37" spans="1:9" s="29" customFormat="1" x14ac:dyDescent="0.25"/>
    <row r="38" spans="1:9" s="29" customFormat="1" x14ac:dyDescent="0.25"/>
    <row r="39" spans="1:9" s="29" customFormat="1" x14ac:dyDescent="0.25"/>
    <row r="40" spans="1:9" s="29" customFormat="1" x14ac:dyDescent="0.25"/>
    <row r="41" spans="1:9" s="29" customFormat="1" x14ac:dyDescent="0.25"/>
    <row r="42" spans="1:9" s="29" customFormat="1" x14ac:dyDescent="0.25"/>
    <row r="43" spans="1:9" s="29" customFormat="1" x14ac:dyDescent="0.25"/>
    <row r="44" spans="1:9" s="29" customFormat="1" x14ac:dyDescent="0.25"/>
    <row r="45" spans="1:9" s="29" customFormat="1" x14ac:dyDescent="0.25"/>
    <row r="46" spans="1:9" s="29" customFormat="1" x14ac:dyDescent="0.25"/>
    <row r="47" spans="1:9" s="29" customFormat="1" x14ac:dyDescent="0.25"/>
    <row r="48" spans="1:9" s="29" customFormat="1" x14ac:dyDescent="0.25"/>
    <row r="49" s="29" customFormat="1" x14ac:dyDescent="0.25"/>
    <row r="50" s="29" customFormat="1" x14ac:dyDescent="0.25"/>
    <row r="51" s="29" customFormat="1" x14ac:dyDescent="0.25"/>
    <row r="52" s="29" customFormat="1" x14ac:dyDescent="0.25"/>
    <row r="53" s="29" customFormat="1" x14ac:dyDescent="0.25"/>
    <row r="54" s="29" customFormat="1" x14ac:dyDescent="0.25"/>
    <row r="55" s="29" customFormat="1" x14ac:dyDescent="0.25"/>
    <row r="56" s="29" customFormat="1" x14ac:dyDescent="0.25"/>
    <row r="57" s="29" customFormat="1" x14ac:dyDescent="0.25"/>
    <row r="58" s="29" customFormat="1" x14ac:dyDescent="0.25"/>
    <row r="59" s="29" customFormat="1" x14ac:dyDescent="0.25"/>
    <row r="60" s="29" customFormat="1" x14ac:dyDescent="0.25"/>
    <row r="61" s="29" customFormat="1" x14ac:dyDescent="0.25"/>
    <row r="62" s="29" customFormat="1" x14ac:dyDescent="0.25"/>
    <row r="63" s="29" customFormat="1" x14ac:dyDescent="0.25"/>
    <row r="64" s="29" customFormat="1" x14ac:dyDescent="0.25"/>
    <row r="65" s="29" customFormat="1" x14ac:dyDescent="0.25"/>
    <row r="66" s="29" customFormat="1" x14ac:dyDescent="0.25"/>
    <row r="67" s="29" customFormat="1" x14ac:dyDescent="0.25"/>
    <row r="68" s="29" customFormat="1" x14ac:dyDescent="0.25"/>
    <row r="69" s="29" customFormat="1" x14ac:dyDescent="0.25"/>
    <row r="70" s="29" customFormat="1" x14ac:dyDescent="0.25"/>
    <row r="71" s="29" customFormat="1" x14ac:dyDescent="0.25"/>
    <row r="72" s="29" customFormat="1" x14ac:dyDescent="0.25"/>
    <row r="73" s="29" customFormat="1" x14ac:dyDescent="0.25"/>
    <row r="74" s="29" customFormat="1" x14ac:dyDescent="0.25"/>
    <row r="75" s="29" customFormat="1" x14ac:dyDescent="0.25"/>
    <row r="76" s="29" customFormat="1" x14ac:dyDescent="0.25"/>
    <row r="77" s="29" customFormat="1" x14ac:dyDescent="0.25"/>
    <row r="78" s="29" customFormat="1" x14ac:dyDescent="0.25"/>
    <row r="79" s="29" customFormat="1" x14ac:dyDescent="0.25"/>
    <row r="80" s="29" customFormat="1" x14ac:dyDescent="0.25"/>
    <row r="81" s="29" customFormat="1" x14ac:dyDescent="0.25"/>
    <row r="82" s="29" customFormat="1" x14ac:dyDescent="0.25"/>
    <row r="83" s="29" customFormat="1" x14ac:dyDescent="0.25"/>
    <row r="84" s="29" customFormat="1" x14ac:dyDescent="0.25"/>
    <row r="85" s="29" customFormat="1" x14ac:dyDescent="0.25"/>
    <row r="86" s="29" customFormat="1" x14ac:dyDescent="0.25"/>
    <row r="87" s="29" customFormat="1" x14ac:dyDescent="0.25"/>
    <row r="88" s="29" customFormat="1" x14ac:dyDescent="0.25"/>
    <row r="89" s="29" customFormat="1" x14ac:dyDescent="0.25"/>
    <row r="90" s="29" customFormat="1" x14ac:dyDescent="0.25"/>
    <row r="91" s="29" customFormat="1" x14ac:dyDescent="0.25"/>
    <row r="92" s="29" customFormat="1" x14ac:dyDescent="0.25"/>
    <row r="93" s="29" customFormat="1" x14ac:dyDescent="0.25"/>
    <row r="94" s="29" customFormat="1" x14ac:dyDescent="0.25"/>
    <row r="95" s="29" customFormat="1" x14ac:dyDescent="0.25"/>
    <row r="96" s="29" customFormat="1" x14ac:dyDescent="0.25"/>
    <row r="97" s="29" customFormat="1" x14ac:dyDescent="0.25"/>
    <row r="98" s="29" customFormat="1" x14ac:dyDescent="0.25"/>
    <row r="99" s="29" customFormat="1" x14ac:dyDescent="0.25"/>
    <row r="100" s="29" customFormat="1" x14ac:dyDescent="0.25"/>
    <row r="101" s="29" customFormat="1" x14ac:dyDescent="0.25"/>
    <row r="102" s="29" customFormat="1" x14ac:dyDescent="0.25"/>
    <row r="103" s="29" customFormat="1" x14ac:dyDescent="0.25"/>
    <row r="104" s="29" customFormat="1" x14ac:dyDescent="0.25"/>
    <row r="105" s="29" customFormat="1" x14ac:dyDescent="0.25"/>
    <row r="106" s="29" customFormat="1" x14ac:dyDescent="0.25"/>
    <row r="107" s="29" customFormat="1" x14ac:dyDescent="0.25"/>
    <row r="108" s="29" customFormat="1" x14ac:dyDescent="0.25"/>
    <row r="109" s="29" customFormat="1" x14ac:dyDescent="0.25"/>
    <row r="110" s="29" customFormat="1" x14ac:dyDescent="0.25"/>
    <row r="111" s="29" customFormat="1" x14ac:dyDescent="0.25"/>
    <row r="112" s="29" customFormat="1" x14ac:dyDescent="0.25"/>
    <row r="113" s="29" customFormat="1" x14ac:dyDescent="0.25"/>
    <row r="114" s="29" customFormat="1" x14ac:dyDescent="0.25"/>
    <row r="115" s="29" customFormat="1" x14ac:dyDescent="0.25"/>
    <row r="116" s="29" customFormat="1" x14ac:dyDescent="0.25"/>
    <row r="117" s="29" customFormat="1" x14ac:dyDescent="0.25"/>
    <row r="118" s="29" customFormat="1" x14ac:dyDescent="0.25"/>
    <row r="119" s="29" customFormat="1" x14ac:dyDescent="0.25"/>
    <row r="120" s="29" customFormat="1" x14ac:dyDescent="0.25"/>
    <row r="121" s="29" customFormat="1" x14ac:dyDescent="0.25"/>
    <row r="122" s="29" customFormat="1" x14ac:dyDescent="0.25"/>
    <row r="123" s="29" customFormat="1" x14ac:dyDescent="0.25"/>
    <row r="124" s="29" customFormat="1" x14ac:dyDescent="0.25"/>
    <row r="125" s="29" customFormat="1" x14ac:dyDescent="0.25"/>
    <row r="126" s="29" customFormat="1" x14ac:dyDescent="0.25"/>
    <row r="127" s="29" customFormat="1" x14ac:dyDescent="0.25"/>
    <row r="128" s="29" customFormat="1" x14ac:dyDescent="0.25"/>
    <row r="129" s="29" customFormat="1" x14ac:dyDescent="0.25"/>
    <row r="130" s="29" customFormat="1" x14ac:dyDescent="0.25"/>
    <row r="131" s="29" customFormat="1" x14ac:dyDescent="0.25"/>
    <row r="132" s="29" customFormat="1" x14ac:dyDescent="0.25"/>
    <row r="133" s="29" customFormat="1" x14ac:dyDescent="0.25"/>
    <row r="134" s="29" customFormat="1" x14ac:dyDescent="0.25"/>
    <row r="135" s="29" customFormat="1" x14ac:dyDescent="0.25"/>
    <row r="136" s="29" customFormat="1" x14ac:dyDescent="0.25"/>
    <row r="137" s="29" customFormat="1" x14ac:dyDescent="0.25"/>
    <row r="138" s="29" customFormat="1" x14ac:dyDescent="0.25"/>
    <row r="139" s="29" customFormat="1" x14ac:dyDescent="0.25"/>
    <row r="140" s="29" customFormat="1" x14ac:dyDescent="0.25"/>
    <row r="141" s="29" customFormat="1" x14ac:dyDescent="0.25"/>
    <row r="142" s="29" customFormat="1" x14ac:dyDescent="0.25"/>
    <row r="143" s="29" customFormat="1" x14ac:dyDescent="0.25"/>
    <row r="144" s="29" customFormat="1" x14ac:dyDescent="0.25"/>
    <row r="145" s="29" customFormat="1" x14ac:dyDescent="0.25"/>
    <row r="146" s="29" customFormat="1" x14ac:dyDescent="0.25"/>
    <row r="147" s="29" customFormat="1" x14ac:dyDescent="0.25"/>
    <row r="148" s="29" customFormat="1" x14ac:dyDescent="0.25"/>
    <row r="149" s="29" customFormat="1" x14ac:dyDescent="0.25"/>
    <row r="150" s="29" customFormat="1" x14ac:dyDescent="0.25"/>
    <row r="151" s="29" customFormat="1" x14ac:dyDescent="0.25"/>
    <row r="152" s="29" customFormat="1" x14ac:dyDescent="0.25"/>
    <row r="153" s="29" customFormat="1" x14ac:dyDescent="0.25"/>
  </sheetData>
  <mergeCells count="14">
    <mergeCell ref="I1:I34"/>
    <mergeCell ref="E9:H9"/>
    <mergeCell ref="B29:C29"/>
    <mergeCell ref="B27:C27"/>
    <mergeCell ref="B1:H4"/>
    <mergeCell ref="B6:H6"/>
    <mergeCell ref="B7:H7"/>
    <mergeCell ref="B5:H5"/>
    <mergeCell ref="B8:H8"/>
    <mergeCell ref="B32:C32"/>
    <mergeCell ref="B26:C26"/>
    <mergeCell ref="B9:C9"/>
    <mergeCell ref="B18:C18"/>
    <mergeCell ref="B30:C30"/>
  </mergeCells>
  <conditionalFormatting sqref="B30:C30">
    <cfRule type="expression" dxfId="3" priority="1">
      <formula>$B$27&gt;=1</formula>
    </cfRule>
    <cfRule type="expression" dxfId="2" priority="2">
      <formula>AND($B$27&gt;=0.75,$B$27&lt;1)</formula>
    </cfRule>
    <cfRule type="expression" dxfId="1" priority="3">
      <formula>$B$27&lt;0.75</formula>
    </cfRule>
  </conditionalFormatting>
  <conditionalFormatting sqref="E11:H27">
    <cfRule type="expression" dxfId="0" priority="4">
      <formula>ABS($E11-$C$11)&lt;0.0001</formula>
    </cfRule>
  </conditionalFormatting>
  <dataValidations count="1">
    <dataValidation type="list" errorTitle="Invalid Input" error="Please select Yes or No" promptTitle="Interest Only?" prompt="Select Interest Only option" sqref="C17" xr:uid="{00000000-0002-0000-0000-000000000000}">
      <formula1>"Yes,No"</formula1>
    </dataValidation>
  </dataValidations>
  <pageMargins left="0.75" right="0.75" top="1" bottom="1" header="0.5" footer="0.5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DSCR Calculator</vt:lpstr>
      <vt:lpstr>'DSCR Calculator'!Print_Titles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Stephanie Francisco</cp:lastModifiedBy>
  <cp:revision/>
  <dcterms:created xsi:type="dcterms:W3CDTF">2026-02-16T20:16:32Z</dcterms:created>
  <dcterms:modified xsi:type="dcterms:W3CDTF">2026-02-20T15:07:27Z</dcterms:modified>
  <cp:category/>
  <cp:contentStatus/>
</cp:coreProperties>
</file>